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E558AE16-F813-4A55-841D-375057D85CEA}" xr6:coauthVersionLast="47" xr6:coauthVersionMax="47" xr10:uidLastSave="{00000000-0000-0000-0000-000000000000}"/>
  <bookViews>
    <workbookView xWindow="-120" yWindow="-120" windowWidth="29040" windowHeight="15720" tabRatio="664" xr2:uid="{00000000-000D-0000-FFFF-FFFF00000000}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3" l="1"/>
  <c r="B20" i="3"/>
  <c r="B23" i="3" s="1"/>
  <c r="B60" i="3"/>
  <c r="B54" i="3"/>
  <c r="B48" i="3"/>
  <c r="B34" i="3"/>
  <c r="B28" i="3"/>
  <c r="B30" i="3" s="1"/>
  <c r="B22" i="3"/>
  <c r="B21" i="3"/>
  <c r="B18" i="3"/>
  <c r="B13" i="3"/>
  <c r="B9" i="3"/>
  <c r="B36" i="3" l="1"/>
  <c r="B37" i="3" s="1"/>
  <c r="B39" i="3" s="1"/>
  <c r="E48" i="1"/>
  <c r="B11" i="1"/>
  <c r="B10" i="1"/>
  <c r="B9" i="1"/>
  <c r="B7" i="1"/>
  <c r="B6" i="1"/>
  <c r="B5" i="1"/>
  <c r="B4" i="1"/>
  <c r="B2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<sst xmlns="http://schemas.openxmlformats.org/spreadsheetml/2006/main" count="392" uniqueCount="359">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</sst>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49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4" fillId="0" borderId="0" xfId="0" applyFont="1"/>
    <xf numFmtId="165" fontId="2" fillId="0" borderId="0" xfId="0" applyFont="1" applyAlignment="1">
      <alignment horizontal="left"/>
    </xf>
    <xf numFmtId="165" fontId="4" fillId="0" borderId="0" xfId="0" applyFont="1" applyAlignment="1">
      <alignment horizontal="centerContinuous"/>
    </xf>
    <xf numFmtId="165" fontId="4" fillId="0" borderId="0" xfId="0" applyFont="1" applyAlignment="1">
      <alignment horizontal="left"/>
    </xf>
    <xf numFmtId="165" fontId="5" fillId="0" borderId="0" xfId="0" applyFont="1" applyAlignment="1">
      <alignment horizontal="centerContinuous"/>
    </xf>
    <xf numFmtId="165" fontId="6" fillId="0" borderId="0" xfId="0" applyFont="1" applyAlignment="1">
      <alignment horizontal="centerContinuous"/>
    </xf>
    <xf numFmtId="164" fontId="2" fillId="0" borderId="0" xfId="0" applyNumberFormat="1" applyFont="1" applyAlignment="1">
      <alignment horizontal="left"/>
    </xf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Alignment="1">
      <alignment horizontal="left" vertical="top"/>
    </xf>
    <xf numFmtId="165" fontId="2" fillId="0" borderId="0" xfId="0" applyFont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Font="1" applyBorder="1" applyAlignment="1">
      <alignment horizontal="right" vertical="top"/>
    </xf>
    <xf numFmtId="165" fontId="18" fillId="0" borderId="15" xfId="3" applyFont="1" applyBorder="1" applyAlignment="1">
      <alignment horizontal="right" vertical="top"/>
    </xf>
    <xf numFmtId="165" fontId="18" fillId="0" borderId="0" xfId="3" applyFont="1" applyAlignment="1">
      <alignment horizontal="right" vertical="top"/>
    </xf>
    <xf numFmtId="165" fontId="18" fillId="0" borderId="5" xfId="0" applyFont="1" applyBorder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Alignment="1">
      <alignment vertical="top"/>
    </xf>
    <xf numFmtId="165" fontId="17" fillId="0" borderId="0" xfId="3" applyFont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Alignment="1">
      <alignment horizontal="justify" vertical="top"/>
    </xf>
    <xf numFmtId="0" fontId="2" fillId="0" borderId="0" xfId="0" applyNumberFormat="1" applyFont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Font="1" applyBorder="1" applyAlignment="1">
      <alignment horizontal="left" vertical="top" wrapText="1"/>
    </xf>
  </cellXfs>
  <cellStyles count="7">
    <cellStyle name="Hipervínculo" xfId="2" builtinId="8"/>
    <cellStyle name="Millares 2" xfId="3" xr:uid="{00000000-0005-0000-0000-000001000000}"/>
    <cellStyle name="Millares 3" xfId="6" xr:uid="{00000000-0005-0000-0000-000002000000}"/>
    <cellStyle name="Moneda" xfId="1" builtinId="4"/>
    <cellStyle name="Normal" xfId="0" builtinId="0"/>
    <cellStyle name="Normal 2" xfId="4" xr:uid="{00000000-0005-0000-0000-000005000000}"/>
    <cellStyle name="Normal 2 2" xfId="5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523874</xdr:colOff>
      <xdr:row>0</xdr:row>
      <xdr:rowOff>133349</xdr:rowOff>
    </xdr:from>
    <xdr:to>
      <xdr:col>5</xdr:col>
      <xdr:colOff>695324</xdr:colOff>
      <xdr:row>5</xdr:row>
      <xdr:rowOff>91689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60BA568B-B877-4BFA-AA55-B194E32904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6349" y="133349"/>
          <a:ext cx="1019175" cy="844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6"/>
  <sheetViews>
    <sheetView showGridLines="0" showZeros="0" tabSelected="1" workbookViewId="0">
      <selection activeCell="E8" sqref="E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95"/>
      <c r="B1" s="96" t="s">
        <v>286</v>
      </c>
      <c r="C1" s="97" t="s">
        <v>349</v>
      </c>
    </row>
    <row r="2" spans="1:3" ht="12.75" customHeight="1" x14ac:dyDescent="0.2">
      <c r="A2" s="33" t="s">
        <v>40</v>
      </c>
      <c r="B2" s="33"/>
      <c r="C2" s="34"/>
    </row>
    <row r="3" spans="1:3" ht="12.75" customHeight="1" x14ac:dyDescent="0.2">
      <c r="A3" s="35"/>
      <c r="B3" s="35"/>
      <c r="C3" s="35"/>
    </row>
    <row r="4" spans="1:3" ht="12.75" customHeight="1" x14ac:dyDescent="0.2">
      <c r="A4" s="36" t="s">
        <v>41</v>
      </c>
      <c r="B4" s="37" t="s">
        <v>16</v>
      </c>
      <c r="C4" s="38" t="s">
        <v>42</v>
      </c>
    </row>
    <row r="5" spans="1:3" ht="12.75" customHeight="1" x14ac:dyDescent="0.2">
      <c r="A5" s="39" t="s">
        <v>43</v>
      </c>
      <c r="B5" s="40"/>
      <c r="C5" s="41"/>
    </row>
    <row r="6" spans="1:3" ht="12.75" customHeight="1" x14ac:dyDescent="0.2">
      <c r="A6" s="42" t="s">
        <v>44</v>
      </c>
      <c r="B6" s="43" t="s">
        <v>45</v>
      </c>
      <c r="C6" s="44" t="s">
        <v>350</v>
      </c>
    </row>
    <row r="7" spans="1:3" ht="12.75" customHeight="1" x14ac:dyDescent="0.2">
      <c r="A7" s="45" t="s">
        <v>46</v>
      </c>
      <c r="B7" s="46" t="s">
        <v>47</v>
      </c>
      <c r="C7" s="47" t="s">
        <v>351</v>
      </c>
    </row>
    <row r="8" spans="1:3" ht="12.75" customHeight="1" x14ac:dyDescent="0.2">
      <c r="A8" s="45" t="s">
        <v>48</v>
      </c>
      <c r="B8" s="46" t="s">
        <v>49</v>
      </c>
      <c r="C8" s="47" t="s">
        <v>352</v>
      </c>
    </row>
    <row r="9" spans="1:3" ht="12.75" customHeight="1" x14ac:dyDescent="0.2">
      <c r="A9" s="45" t="s">
        <v>50</v>
      </c>
      <c r="B9" s="46" t="s">
        <v>51</v>
      </c>
      <c r="C9" s="47" t="s">
        <v>52</v>
      </c>
    </row>
    <row r="10" spans="1:3" ht="12.75" customHeight="1" x14ac:dyDescent="0.2">
      <c r="A10" s="46" t="s">
        <v>53</v>
      </c>
      <c r="B10" s="45" t="s">
        <v>54</v>
      </c>
      <c r="C10" s="47" t="s">
        <v>353</v>
      </c>
    </row>
    <row r="11" spans="1:3" ht="12.75" customHeight="1" x14ac:dyDescent="0.2">
      <c r="A11" s="46" t="s">
        <v>56</v>
      </c>
      <c r="B11" s="46" t="s">
        <v>57</v>
      </c>
      <c r="C11" s="47" t="s">
        <v>354</v>
      </c>
    </row>
    <row r="12" spans="1:3" ht="12.75" customHeight="1" x14ac:dyDescent="0.2">
      <c r="A12" s="46" t="s">
        <v>58</v>
      </c>
      <c r="B12" s="46" t="s">
        <v>59</v>
      </c>
      <c r="C12" s="47" t="s">
        <v>355</v>
      </c>
    </row>
    <row r="13" spans="1:3" ht="12.75" customHeight="1" x14ac:dyDescent="0.2">
      <c r="A13" s="46" t="s">
        <v>60</v>
      </c>
      <c r="B13" s="46" t="s">
        <v>61</v>
      </c>
      <c r="C13" s="48" t="s">
        <v>356</v>
      </c>
    </row>
    <row r="14" spans="1:3" ht="12.75" customHeight="1" x14ac:dyDescent="0.2">
      <c r="A14" s="45" t="s">
        <v>62</v>
      </c>
      <c r="B14" s="46" t="s">
        <v>63</v>
      </c>
      <c r="C14" s="49">
        <v>1234567</v>
      </c>
    </row>
    <row r="15" spans="1:3" ht="12.75" customHeight="1" x14ac:dyDescent="0.2">
      <c r="A15" s="45" t="s">
        <v>64</v>
      </c>
      <c r="B15" s="46" t="s">
        <v>65</v>
      </c>
      <c r="C15" s="49">
        <v>12345678</v>
      </c>
    </row>
    <row r="16" spans="1:3" ht="12.75" customHeight="1" x14ac:dyDescent="0.2">
      <c r="A16" s="45" t="s">
        <v>66</v>
      </c>
      <c r="B16" s="46" t="s">
        <v>67</v>
      </c>
      <c r="C16" s="49">
        <v>123456789</v>
      </c>
    </row>
    <row r="17" spans="1:3" ht="12.75" customHeight="1" x14ac:dyDescent="0.2">
      <c r="A17" s="45" t="s">
        <v>68</v>
      </c>
      <c r="B17" s="46" t="s">
        <v>69</v>
      </c>
      <c r="C17" s="47" t="s">
        <v>357</v>
      </c>
    </row>
    <row r="18" spans="1:3" ht="12.75" customHeight="1" x14ac:dyDescent="0.2">
      <c r="A18" s="45" t="s">
        <v>70</v>
      </c>
      <c r="B18" s="46" t="s">
        <v>71</v>
      </c>
      <c r="C18" s="47" t="s">
        <v>72</v>
      </c>
    </row>
    <row r="19" spans="1:3" ht="12.75" customHeight="1" x14ac:dyDescent="0.2">
      <c r="A19" s="39" t="s">
        <v>73</v>
      </c>
      <c r="B19" s="50"/>
      <c r="C19" s="41"/>
    </row>
    <row r="20" spans="1:3" ht="38.25" x14ac:dyDescent="0.2">
      <c r="A20" s="45" t="s">
        <v>74</v>
      </c>
      <c r="B20" s="45" t="s">
        <v>75</v>
      </c>
      <c r="C20" s="51" t="s">
        <v>76</v>
      </c>
    </row>
    <row r="21" spans="1:3" ht="12.75" customHeight="1" x14ac:dyDescent="0.2">
      <c r="A21" s="46" t="s">
        <v>77</v>
      </c>
      <c r="B21" s="46" t="s">
        <v>78</v>
      </c>
      <c r="C21" s="47" t="s">
        <v>79</v>
      </c>
    </row>
    <row r="22" spans="1:3" ht="12.75" customHeight="1" x14ac:dyDescent="0.2">
      <c r="A22" s="46" t="s">
        <v>80</v>
      </c>
      <c r="B22" s="46" t="s">
        <v>81</v>
      </c>
      <c r="C22" s="47" t="s">
        <v>82</v>
      </c>
    </row>
    <row r="23" spans="1:3" ht="12.75" customHeight="1" x14ac:dyDescent="0.2">
      <c r="A23" s="46" t="s">
        <v>83</v>
      </c>
      <c r="B23" s="46" t="s">
        <v>84</v>
      </c>
      <c r="C23" s="47" t="s">
        <v>84</v>
      </c>
    </row>
    <row r="24" spans="1:3" ht="12.75" customHeight="1" x14ac:dyDescent="0.2">
      <c r="A24" s="46" t="s">
        <v>85</v>
      </c>
      <c r="B24" s="46" t="s">
        <v>86</v>
      </c>
      <c r="C24" s="47" t="s">
        <v>86</v>
      </c>
    </row>
    <row r="25" spans="1:3" ht="12.75" customHeight="1" x14ac:dyDescent="0.2">
      <c r="A25" s="46" t="s">
        <v>87</v>
      </c>
      <c r="B25" s="46" t="s">
        <v>88</v>
      </c>
      <c r="C25" s="47" t="s">
        <v>88</v>
      </c>
    </row>
    <row r="26" spans="1:3" ht="12.75" customHeight="1" x14ac:dyDescent="0.2">
      <c r="A26" s="46" t="s">
        <v>89</v>
      </c>
      <c r="B26" s="46" t="s">
        <v>90</v>
      </c>
      <c r="C26" s="47" t="s">
        <v>90</v>
      </c>
    </row>
    <row r="27" spans="1:3" ht="12.75" customHeight="1" x14ac:dyDescent="0.2">
      <c r="A27" s="46" t="s">
        <v>91</v>
      </c>
      <c r="B27" s="46" t="s">
        <v>92</v>
      </c>
      <c r="C27" s="47" t="s">
        <v>92</v>
      </c>
    </row>
    <row r="28" spans="1:3" ht="12.75" customHeight="1" x14ac:dyDescent="0.2">
      <c r="A28" s="46" t="s">
        <v>93</v>
      </c>
      <c r="B28" s="46" t="s">
        <v>94</v>
      </c>
      <c r="C28" s="47" t="s">
        <v>94</v>
      </c>
    </row>
    <row r="29" spans="1:3" ht="12.75" customHeight="1" x14ac:dyDescent="0.2">
      <c r="A29" s="46" t="s">
        <v>95</v>
      </c>
      <c r="B29" s="46" t="s">
        <v>96</v>
      </c>
      <c r="C29" s="47" t="s">
        <v>96</v>
      </c>
    </row>
    <row r="30" spans="1:3" ht="12.75" customHeight="1" x14ac:dyDescent="0.2">
      <c r="A30" s="101" t="s">
        <v>292</v>
      </c>
      <c r="B30" s="102" t="s">
        <v>293</v>
      </c>
      <c r="C30" s="103" t="s">
        <v>293</v>
      </c>
    </row>
    <row r="31" spans="1:3" ht="12.75" customHeight="1" x14ac:dyDescent="0.2">
      <c r="A31" s="104" t="s">
        <v>294</v>
      </c>
      <c r="B31" s="102" t="s">
        <v>295</v>
      </c>
      <c r="C31" s="103" t="s">
        <v>295</v>
      </c>
    </row>
    <row r="32" spans="1:3" ht="12.75" customHeight="1" x14ac:dyDescent="0.2">
      <c r="A32" s="101" t="s">
        <v>296</v>
      </c>
      <c r="B32" s="102" t="s">
        <v>297</v>
      </c>
      <c r="C32" s="103" t="s">
        <v>297</v>
      </c>
    </row>
    <row r="33" spans="1:3" ht="12.75" customHeight="1" x14ac:dyDescent="0.2">
      <c r="A33" s="39" t="s">
        <v>97</v>
      </c>
      <c r="B33" s="50"/>
      <c r="C33" s="41"/>
    </row>
    <row r="34" spans="1:3" ht="12.75" customHeight="1" x14ac:dyDescent="0.2">
      <c r="A34" s="45" t="s">
        <v>98</v>
      </c>
      <c r="B34" s="46" t="s">
        <v>99</v>
      </c>
      <c r="C34" s="109">
        <v>40017</v>
      </c>
    </row>
    <row r="35" spans="1:3" ht="12.75" customHeight="1" x14ac:dyDescent="0.2">
      <c r="A35" s="45" t="s">
        <v>100</v>
      </c>
      <c r="B35" s="46" t="s">
        <v>101</v>
      </c>
      <c r="C35" s="49" t="s">
        <v>102</v>
      </c>
    </row>
    <row r="36" spans="1:3" ht="12.75" customHeight="1" x14ac:dyDescent="0.2">
      <c r="A36" s="45" t="s">
        <v>103</v>
      </c>
      <c r="B36" s="45" t="s">
        <v>104</v>
      </c>
      <c r="C36" s="47" t="s">
        <v>105</v>
      </c>
    </row>
    <row r="37" spans="1:3" ht="12.75" customHeight="1" x14ac:dyDescent="0.2">
      <c r="A37" s="39" t="s">
        <v>106</v>
      </c>
      <c r="B37" s="50"/>
      <c r="C37" s="52"/>
    </row>
    <row r="38" spans="1:3" ht="12.75" customHeight="1" x14ac:dyDescent="0.2">
      <c r="A38" s="98" t="s">
        <v>289</v>
      </c>
      <c r="B38" s="99" t="s">
        <v>290</v>
      </c>
      <c r="C38" s="100" t="s">
        <v>291</v>
      </c>
    </row>
    <row r="39" spans="1:3" ht="102" x14ac:dyDescent="0.2">
      <c r="A39" s="45" t="s">
        <v>107</v>
      </c>
      <c r="B39" s="46" t="s">
        <v>108</v>
      </c>
      <c r="C39" s="53" t="s">
        <v>109</v>
      </c>
    </row>
    <row r="40" spans="1:3" ht="12.75" customHeight="1" x14ac:dyDescent="0.2">
      <c r="A40" s="45" t="s">
        <v>110</v>
      </c>
      <c r="B40" s="46" t="s">
        <v>111</v>
      </c>
      <c r="C40" s="47" t="s">
        <v>112</v>
      </c>
    </row>
    <row r="41" spans="1:3" ht="12.75" customHeight="1" x14ac:dyDescent="0.2">
      <c r="A41" s="45" t="s">
        <v>113</v>
      </c>
      <c r="B41" s="46" t="s">
        <v>114</v>
      </c>
      <c r="C41" s="47" t="s">
        <v>114</v>
      </c>
    </row>
    <row r="42" spans="1:3" ht="12.75" customHeight="1" x14ac:dyDescent="0.2">
      <c r="A42" s="45" t="s">
        <v>115</v>
      </c>
      <c r="B42" s="46" t="s">
        <v>116</v>
      </c>
      <c r="C42" s="47" t="s">
        <v>52</v>
      </c>
    </row>
    <row r="43" spans="1:3" ht="12.75" customHeight="1" x14ac:dyDescent="0.2">
      <c r="A43" s="45" t="s">
        <v>117</v>
      </c>
      <c r="B43" s="45" t="s">
        <v>118</v>
      </c>
      <c r="C43" s="47" t="s">
        <v>55</v>
      </c>
    </row>
    <row r="44" spans="1:3" ht="12.75" customHeight="1" x14ac:dyDescent="0.2">
      <c r="A44" s="45" t="s">
        <v>119</v>
      </c>
      <c r="B44" s="45" t="s">
        <v>120</v>
      </c>
      <c r="C44" s="47" t="s">
        <v>120</v>
      </c>
    </row>
    <row r="45" spans="1:3" ht="12.75" customHeight="1" x14ac:dyDescent="0.2">
      <c r="A45" s="45" t="s">
        <v>121</v>
      </c>
      <c r="B45" s="45" t="s">
        <v>122</v>
      </c>
      <c r="C45" s="47" t="s">
        <v>122</v>
      </c>
    </row>
    <row r="46" spans="1:3" ht="12.75" customHeight="1" x14ac:dyDescent="0.2">
      <c r="A46" s="45" t="s">
        <v>123</v>
      </c>
      <c r="B46" s="45" t="s">
        <v>124</v>
      </c>
      <c r="C46" s="47" t="s">
        <v>124</v>
      </c>
    </row>
    <row r="47" spans="1:3" ht="12.75" customHeight="1" x14ac:dyDescent="0.2">
      <c r="A47" s="45" t="s">
        <v>125</v>
      </c>
      <c r="B47" s="45" t="s">
        <v>126</v>
      </c>
      <c r="C47" s="47" t="s">
        <v>126</v>
      </c>
    </row>
    <row r="48" spans="1:3" ht="12.75" customHeight="1" x14ac:dyDescent="0.2">
      <c r="A48" s="45" t="s">
        <v>127</v>
      </c>
      <c r="B48" s="45" t="s">
        <v>128</v>
      </c>
      <c r="C48" s="47" t="s">
        <v>129</v>
      </c>
    </row>
    <row r="49" spans="1:3" ht="12.75" customHeight="1" x14ac:dyDescent="0.2">
      <c r="A49" s="105" t="s">
        <v>298</v>
      </c>
      <c r="B49" s="105" t="s">
        <v>299</v>
      </c>
      <c r="C49" s="106" t="s">
        <v>300</v>
      </c>
    </row>
    <row r="50" spans="1:3" ht="12.75" customHeight="1" x14ac:dyDescent="0.2">
      <c r="A50" s="105" t="s">
        <v>301</v>
      </c>
      <c r="B50" s="105" t="s">
        <v>302</v>
      </c>
      <c r="C50" s="106" t="s">
        <v>358</v>
      </c>
    </row>
    <row r="51" spans="1:3" ht="12.75" customHeight="1" x14ac:dyDescent="0.2">
      <c r="A51" s="105" t="s">
        <v>303</v>
      </c>
      <c r="B51" s="105" t="s">
        <v>304</v>
      </c>
      <c r="C51" s="106" t="s">
        <v>305</v>
      </c>
    </row>
    <row r="52" spans="1:3" ht="12.75" customHeight="1" x14ac:dyDescent="0.2">
      <c r="A52" s="105" t="s">
        <v>306</v>
      </c>
      <c r="B52" s="105" t="s">
        <v>307</v>
      </c>
      <c r="C52" s="106" t="s">
        <v>355</v>
      </c>
    </row>
    <row r="53" spans="1:3" ht="12.75" customHeight="1" x14ac:dyDescent="0.2">
      <c r="A53" s="105" t="s">
        <v>308</v>
      </c>
      <c r="B53" s="105" t="s">
        <v>309</v>
      </c>
      <c r="C53" s="107" t="s">
        <v>356</v>
      </c>
    </row>
    <row r="54" spans="1:3" ht="12.75" customHeight="1" x14ac:dyDescent="0.2">
      <c r="A54" s="45" t="s">
        <v>130</v>
      </c>
      <c r="B54" s="46" t="s">
        <v>131</v>
      </c>
      <c r="C54" s="109">
        <v>40026</v>
      </c>
    </row>
    <row r="55" spans="1:3" ht="12.75" customHeight="1" x14ac:dyDescent="0.2">
      <c r="A55" s="54" t="s">
        <v>132</v>
      </c>
      <c r="B55" s="55" t="s">
        <v>133</v>
      </c>
      <c r="C55" s="110">
        <v>40178</v>
      </c>
    </row>
    <row r="56" spans="1:3" ht="12.75" customHeight="1" x14ac:dyDescent="0.2">
      <c r="A56" s="45" t="s">
        <v>134</v>
      </c>
      <c r="B56" s="46" t="s">
        <v>135</v>
      </c>
      <c r="C56" s="56">
        <v>100000</v>
      </c>
    </row>
    <row r="57" spans="1:3" ht="12.75" customHeight="1" x14ac:dyDescent="0.2">
      <c r="A57" s="45" t="s">
        <v>136</v>
      </c>
      <c r="B57" s="46" t="s">
        <v>137</v>
      </c>
      <c r="C57" s="56">
        <v>7722</v>
      </c>
    </row>
    <row r="58" spans="1:3" ht="12.75" customHeight="1" x14ac:dyDescent="0.2">
      <c r="A58" s="45" t="s">
        <v>138</v>
      </c>
      <c r="B58" s="46" t="s">
        <v>139</v>
      </c>
      <c r="C58" s="57">
        <v>0.15</v>
      </c>
    </row>
    <row r="59" spans="1:3" ht="12.75" customHeight="1" x14ac:dyDescent="0.2">
      <c r="A59" s="39" t="s">
        <v>140</v>
      </c>
      <c r="B59" s="50"/>
      <c r="C59" s="41"/>
    </row>
    <row r="60" spans="1:3" ht="12.75" customHeight="1" x14ac:dyDescent="0.2">
      <c r="A60" s="46" t="s">
        <v>141</v>
      </c>
      <c r="B60" s="46" t="s">
        <v>142</v>
      </c>
      <c r="C60" s="47">
        <v>153</v>
      </c>
    </row>
    <row r="61" spans="1:3" ht="12.75" customHeight="1" x14ac:dyDescent="0.2">
      <c r="A61" s="46" t="s">
        <v>143</v>
      </c>
      <c r="B61" s="46" t="s">
        <v>144</v>
      </c>
      <c r="C61" s="47">
        <v>133</v>
      </c>
    </row>
    <row r="62" spans="1:3" ht="12.75" customHeight="1" x14ac:dyDescent="0.2">
      <c r="A62" s="45" t="s">
        <v>145</v>
      </c>
      <c r="B62" s="45" t="s">
        <v>146</v>
      </c>
      <c r="C62" s="47">
        <v>2</v>
      </c>
    </row>
    <row r="63" spans="1:3" ht="12.75" customHeight="1" x14ac:dyDescent="0.2">
      <c r="A63" s="45" t="s">
        <v>147</v>
      </c>
      <c r="B63" s="45" t="s">
        <v>148</v>
      </c>
      <c r="C63" s="47" t="s">
        <v>149</v>
      </c>
    </row>
    <row r="64" spans="1:3" ht="12.75" customHeight="1" x14ac:dyDescent="0.2">
      <c r="A64" s="45" t="s">
        <v>150</v>
      </c>
      <c r="B64" s="45" t="s">
        <v>151</v>
      </c>
      <c r="C64" s="47" t="s">
        <v>152</v>
      </c>
    </row>
    <row r="65" spans="1:3" ht="12.75" customHeight="1" x14ac:dyDescent="0.2">
      <c r="A65" s="45" t="s">
        <v>153</v>
      </c>
      <c r="B65" s="45" t="s">
        <v>154</v>
      </c>
      <c r="C65" s="47" t="s">
        <v>155</v>
      </c>
    </row>
    <row r="66" spans="1:3" ht="12.75" customHeight="1" x14ac:dyDescent="0.2">
      <c r="A66" s="45" t="s">
        <v>156</v>
      </c>
      <c r="B66" s="45" t="s">
        <v>157</v>
      </c>
      <c r="C66" s="47" t="s">
        <v>158</v>
      </c>
    </row>
    <row r="67" spans="1:3" ht="12.75" customHeight="1" x14ac:dyDescent="0.2">
      <c r="A67" s="58" t="s">
        <v>159</v>
      </c>
      <c r="B67" s="59"/>
      <c r="C67" s="60"/>
    </row>
    <row r="68" spans="1:3" ht="12.75" customHeight="1" x14ac:dyDescent="0.2">
      <c r="A68" s="45" t="s">
        <v>160</v>
      </c>
      <c r="B68" s="46" t="s">
        <v>161</v>
      </c>
      <c r="C68" s="47" t="s">
        <v>162</v>
      </c>
    </row>
    <row r="69" spans="1:3" ht="12.75" customHeight="1" x14ac:dyDescent="0.2">
      <c r="A69" s="45" t="s">
        <v>163</v>
      </c>
      <c r="B69" s="46" t="s">
        <v>164</v>
      </c>
      <c r="C69" s="109">
        <v>39995</v>
      </c>
    </row>
    <row r="70" spans="1:3" ht="12.75" customHeight="1" x14ac:dyDescent="0.2">
      <c r="A70" s="61" t="s">
        <v>165</v>
      </c>
      <c r="B70" s="46" t="s">
        <v>166</v>
      </c>
      <c r="C70" s="53" t="s">
        <v>167</v>
      </c>
    </row>
    <row r="71" spans="1:3" ht="12.75" customHeight="1" x14ac:dyDescent="0.2">
      <c r="A71" s="39" t="s">
        <v>2</v>
      </c>
      <c r="B71" s="50"/>
      <c r="C71" s="41"/>
    </row>
    <row r="72" spans="1:3" ht="12.75" customHeight="1" x14ac:dyDescent="0.2">
      <c r="A72" s="46" t="s">
        <v>310</v>
      </c>
      <c r="B72" s="113" t="s">
        <v>334</v>
      </c>
      <c r="C72" s="112">
        <v>1</v>
      </c>
    </row>
    <row r="73" spans="1:3" ht="12.75" customHeight="1" x14ac:dyDescent="0.2">
      <c r="A73" s="113" t="s">
        <v>311</v>
      </c>
      <c r="B73" s="45" t="s">
        <v>238</v>
      </c>
      <c r="C73" s="47" t="s">
        <v>348</v>
      </c>
    </row>
    <row r="74" spans="1:3" ht="12.75" customHeight="1" x14ac:dyDescent="0.2">
      <c r="A74" s="46" t="s">
        <v>312</v>
      </c>
      <c r="B74" s="46" t="s">
        <v>180</v>
      </c>
      <c r="C74" s="130">
        <v>40597</v>
      </c>
    </row>
    <row r="75" spans="1:3" ht="12.75" customHeight="1" x14ac:dyDescent="0.2">
      <c r="A75" s="113" t="s">
        <v>313</v>
      </c>
      <c r="B75" s="45" t="s">
        <v>181</v>
      </c>
      <c r="C75" s="47" t="s">
        <v>182</v>
      </c>
    </row>
    <row r="76" spans="1:3" ht="12.75" customHeight="1" x14ac:dyDescent="0.2">
      <c r="A76" s="113" t="s">
        <v>314</v>
      </c>
      <c r="B76" s="113" t="s">
        <v>315</v>
      </c>
      <c r="C76" s="47" t="s">
        <v>321</v>
      </c>
    </row>
    <row r="77" spans="1:3" ht="12.75" customHeight="1" x14ac:dyDescent="0.2">
      <c r="A77" s="113" t="s">
        <v>316</v>
      </c>
      <c r="B77" s="45" t="s">
        <v>183</v>
      </c>
      <c r="C77" s="131">
        <v>11306293.279999999</v>
      </c>
    </row>
    <row r="78" spans="1:3" ht="12.75" customHeight="1" x14ac:dyDescent="0.2">
      <c r="A78" s="113" t="s">
        <v>317</v>
      </c>
      <c r="B78" s="45" t="s">
        <v>184</v>
      </c>
      <c r="C78" s="132">
        <v>0</v>
      </c>
    </row>
    <row r="79" spans="1:3" ht="12.75" customHeight="1" x14ac:dyDescent="0.2">
      <c r="A79" s="113" t="s">
        <v>318</v>
      </c>
      <c r="B79" s="45" t="s">
        <v>185</v>
      </c>
      <c r="C79" s="131">
        <v>1033395.21</v>
      </c>
    </row>
    <row r="80" spans="1:3" ht="12.75" customHeight="1" x14ac:dyDescent="0.2">
      <c r="A80" s="113" t="s">
        <v>319</v>
      </c>
      <c r="B80" s="45" t="s">
        <v>186</v>
      </c>
      <c r="C80" s="133">
        <v>16</v>
      </c>
    </row>
    <row r="81" spans="1:3" x14ac:dyDescent="0.2">
      <c r="A81" s="113" t="s">
        <v>320</v>
      </c>
      <c r="B81" s="45" t="s">
        <v>239</v>
      </c>
      <c r="C81" s="131">
        <v>1809006.92</v>
      </c>
    </row>
    <row r="82" spans="1:3" x14ac:dyDescent="0.2">
      <c r="A82" s="39" t="s">
        <v>37</v>
      </c>
      <c r="B82" s="50"/>
      <c r="C82" s="41"/>
    </row>
    <row r="83" spans="1:3" x14ac:dyDescent="0.2">
      <c r="A83" s="45" t="s">
        <v>211</v>
      </c>
      <c r="B83" s="45" t="s">
        <v>261</v>
      </c>
      <c r="C83" s="47" t="s">
        <v>357</v>
      </c>
    </row>
    <row r="84" spans="1:3" x14ac:dyDescent="0.2">
      <c r="A84" s="45" t="s">
        <v>212</v>
      </c>
      <c r="B84" s="45" t="s">
        <v>262</v>
      </c>
      <c r="C84" s="47" t="s">
        <v>219</v>
      </c>
    </row>
    <row r="85" spans="1:3" x14ac:dyDescent="0.2">
      <c r="A85" s="45" t="s">
        <v>242</v>
      </c>
      <c r="B85" s="45" t="s">
        <v>263</v>
      </c>
      <c r="C85" s="47" t="s">
        <v>243</v>
      </c>
    </row>
    <row r="86" spans="1:3" x14ac:dyDescent="0.2">
      <c r="A86" s="45" t="s">
        <v>213</v>
      </c>
      <c r="B86" s="45" t="s">
        <v>264</v>
      </c>
      <c r="C86" s="47" t="s">
        <v>357</v>
      </c>
    </row>
    <row r="87" spans="1:3" x14ac:dyDescent="0.2">
      <c r="A87" s="45" t="s">
        <v>214</v>
      </c>
      <c r="B87" s="45" t="s">
        <v>266</v>
      </c>
      <c r="C87" s="47" t="s">
        <v>220</v>
      </c>
    </row>
    <row r="88" spans="1:3" x14ac:dyDescent="0.2">
      <c r="A88" s="45" t="s">
        <v>244</v>
      </c>
      <c r="B88" s="45" t="s">
        <v>265</v>
      </c>
      <c r="C88" s="47" t="s">
        <v>245</v>
      </c>
    </row>
    <row r="89" spans="1:3" x14ac:dyDescent="0.2">
      <c r="A89" s="45" t="s">
        <v>215</v>
      </c>
      <c r="B89" s="45" t="s">
        <v>267</v>
      </c>
      <c r="C89" s="47" t="s">
        <v>357</v>
      </c>
    </row>
    <row r="90" spans="1:3" x14ac:dyDescent="0.2">
      <c r="A90" s="45" t="s">
        <v>216</v>
      </c>
      <c r="B90" s="45" t="s">
        <v>268</v>
      </c>
      <c r="C90" s="47" t="s">
        <v>221</v>
      </c>
    </row>
    <row r="91" spans="1:3" x14ac:dyDescent="0.2">
      <c r="A91" s="45" t="s">
        <v>246</v>
      </c>
      <c r="B91" s="45" t="s">
        <v>269</v>
      </c>
      <c r="C91" s="47" t="s">
        <v>247</v>
      </c>
    </row>
    <row r="92" spans="1:3" x14ac:dyDescent="0.2">
      <c r="A92" s="45" t="s">
        <v>217</v>
      </c>
      <c r="B92" s="45" t="s">
        <v>270</v>
      </c>
      <c r="C92" s="47" t="s">
        <v>357</v>
      </c>
    </row>
    <row r="93" spans="1:3" x14ac:dyDescent="0.2">
      <c r="A93" s="45" t="s">
        <v>218</v>
      </c>
      <c r="B93" s="45" t="s">
        <v>271</v>
      </c>
      <c r="C93" s="47" t="s">
        <v>322</v>
      </c>
    </row>
    <row r="94" spans="1:3" x14ac:dyDescent="0.2">
      <c r="A94" s="45" t="s">
        <v>248</v>
      </c>
      <c r="B94" s="45" t="s">
        <v>272</v>
      </c>
      <c r="C94" s="47" t="s">
        <v>335</v>
      </c>
    </row>
    <row r="95" spans="1:3" x14ac:dyDescent="0.2">
      <c r="A95" s="45" t="s">
        <v>249</v>
      </c>
      <c r="B95" s="45" t="s">
        <v>273</v>
      </c>
      <c r="C95" s="132" t="s">
        <v>336</v>
      </c>
    </row>
    <row r="96" spans="1:3" x14ac:dyDescent="0.2">
      <c r="A96" s="45" t="s">
        <v>250</v>
      </c>
      <c r="B96" s="45" t="s">
        <v>274</v>
      </c>
      <c r="C96" s="132" t="s">
        <v>337</v>
      </c>
    </row>
    <row r="97" spans="1:3" x14ac:dyDescent="0.2">
      <c r="A97" s="45" t="s">
        <v>251</v>
      </c>
      <c r="B97" s="45" t="s">
        <v>275</v>
      </c>
      <c r="C97" s="132" t="s">
        <v>344</v>
      </c>
    </row>
    <row r="98" spans="1:3" x14ac:dyDescent="0.2">
      <c r="A98" s="45" t="s">
        <v>252</v>
      </c>
      <c r="B98" s="45" t="s">
        <v>276</v>
      </c>
      <c r="C98" s="132" t="s">
        <v>338</v>
      </c>
    </row>
    <row r="99" spans="1:3" x14ac:dyDescent="0.2">
      <c r="A99" s="45" t="s">
        <v>253</v>
      </c>
      <c r="B99" s="45" t="s">
        <v>277</v>
      </c>
      <c r="C99" s="132" t="s">
        <v>339</v>
      </c>
    </row>
    <row r="100" spans="1:3" x14ac:dyDescent="0.2">
      <c r="A100" s="45" t="s">
        <v>254</v>
      </c>
      <c r="B100" s="45" t="s">
        <v>278</v>
      </c>
      <c r="C100" s="132" t="s">
        <v>345</v>
      </c>
    </row>
    <row r="101" spans="1:3" x14ac:dyDescent="0.2">
      <c r="A101" s="45" t="s">
        <v>255</v>
      </c>
      <c r="B101" s="45" t="s">
        <v>279</v>
      </c>
      <c r="C101" s="132" t="s">
        <v>340</v>
      </c>
    </row>
    <row r="102" spans="1:3" x14ac:dyDescent="0.2">
      <c r="A102" s="45" t="s">
        <v>256</v>
      </c>
      <c r="B102" s="45" t="s">
        <v>280</v>
      </c>
      <c r="C102" s="132" t="s">
        <v>341</v>
      </c>
    </row>
    <row r="103" spans="1:3" x14ac:dyDescent="0.2">
      <c r="A103" s="45" t="s">
        <v>257</v>
      </c>
      <c r="B103" s="45" t="s">
        <v>281</v>
      </c>
      <c r="C103" s="132" t="s">
        <v>346</v>
      </c>
    </row>
    <row r="104" spans="1:3" x14ac:dyDescent="0.2">
      <c r="A104" s="45" t="s">
        <v>258</v>
      </c>
      <c r="B104" s="45" t="s">
        <v>282</v>
      </c>
      <c r="C104" s="132" t="s">
        <v>342</v>
      </c>
    </row>
    <row r="105" spans="1:3" x14ac:dyDescent="0.2">
      <c r="A105" s="45" t="s">
        <v>259</v>
      </c>
      <c r="B105" s="45" t="s">
        <v>283</v>
      </c>
      <c r="C105" s="132" t="s">
        <v>343</v>
      </c>
    </row>
    <row r="106" spans="1:3" x14ac:dyDescent="0.2">
      <c r="A106" s="45" t="s">
        <v>260</v>
      </c>
      <c r="B106" s="45" t="s">
        <v>284</v>
      </c>
      <c r="C106" s="132" t="s">
        <v>347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0"/>
  <sheetViews>
    <sheetView workbookViewId="0"/>
  </sheetViews>
  <sheetFormatPr baseColWidth="10" defaultRowHeight="11.25" x14ac:dyDescent="0.2"/>
  <cols>
    <col min="1" max="1" width="36.85546875" style="63" bestFit="1" customWidth="1"/>
    <col min="2" max="2" width="45.140625" style="63" customWidth="1"/>
    <col min="3" max="4" width="11.42578125" style="63"/>
    <col min="5" max="5" width="37.140625" style="63" customWidth="1"/>
    <col min="6" max="6" width="12.28515625" style="63" bestFit="1" customWidth="1"/>
    <col min="7" max="7" width="19.42578125" style="63" bestFit="1" customWidth="1"/>
    <col min="8" max="8" width="13.7109375" style="63" bestFit="1" customWidth="1"/>
    <col min="9" max="16384" width="11.42578125" style="63"/>
  </cols>
  <sheetData>
    <row r="1" spans="1:8" x14ac:dyDescent="0.2">
      <c r="A1" s="62" t="s">
        <v>168</v>
      </c>
      <c r="B1" s="62" t="s">
        <v>169</v>
      </c>
      <c r="D1" s="136" t="s">
        <v>178</v>
      </c>
      <c r="E1" s="137"/>
      <c r="F1" s="137"/>
      <c r="G1" s="137"/>
      <c r="H1" s="137"/>
    </row>
    <row r="2" spans="1:8" x14ac:dyDescent="0.2">
      <c r="A2" s="63" t="s">
        <v>172</v>
      </c>
      <c r="B2" s="115" t="s">
        <v>323</v>
      </c>
      <c r="D2" s="62" t="s">
        <v>171</v>
      </c>
      <c r="E2" s="62" t="s">
        <v>170</v>
      </c>
      <c r="F2" s="62" t="s">
        <v>175</v>
      </c>
      <c r="G2" s="62" t="s">
        <v>176</v>
      </c>
      <c r="H2" s="62" t="s">
        <v>177</v>
      </c>
    </row>
    <row r="3" spans="1:8" ht="13.5" customHeight="1" x14ac:dyDescent="0.2">
      <c r="A3" s="63" t="s">
        <v>173</v>
      </c>
      <c r="B3" s="111">
        <v>40610</v>
      </c>
      <c r="D3" s="121" t="s">
        <v>328</v>
      </c>
      <c r="E3" s="122" t="s">
        <v>329</v>
      </c>
      <c r="F3" s="123">
        <v>1110936</v>
      </c>
      <c r="G3" s="123">
        <v>211076</v>
      </c>
      <c r="H3" s="124">
        <v>688784</v>
      </c>
    </row>
    <row r="4" spans="1:8" x14ac:dyDescent="0.2">
      <c r="A4" s="63" t="s">
        <v>174</v>
      </c>
      <c r="B4" s="116" t="s">
        <v>324</v>
      </c>
      <c r="D4" s="125" t="s">
        <v>330</v>
      </c>
      <c r="E4" s="126" t="s">
        <v>331</v>
      </c>
      <c r="F4" s="127">
        <v>7848220</v>
      </c>
      <c r="G4" s="114">
        <v>3123350</v>
      </c>
      <c r="H4" s="128">
        <v>4708932</v>
      </c>
    </row>
    <row r="5" spans="1:8" x14ac:dyDescent="0.2">
      <c r="A5" s="63" t="s">
        <v>179</v>
      </c>
      <c r="B5" s="81">
        <v>12345</v>
      </c>
      <c r="D5" s="129" t="s">
        <v>332</v>
      </c>
      <c r="E5" s="114" t="s">
        <v>333</v>
      </c>
      <c r="F5" s="114">
        <v>2347137.2799999998</v>
      </c>
      <c r="G5" s="114">
        <v>906900.47999999998</v>
      </c>
      <c r="H5" s="128">
        <v>1028737.28</v>
      </c>
    </row>
    <row r="6" spans="1:8" ht="10.5" customHeight="1" x14ac:dyDescent="0.2">
      <c r="A6" s="72" t="s">
        <v>187</v>
      </c>
      <c r="B6" s="117">
        <v>4241326.4800000004</v>
      </c>
      <c r="D6" s="66"/>
      <c r="H6" s="65"/>
    </row>
    <row r="7" spans="1:8" x14ac:dyDescent="0.2">
      <c r="A7" s="72" t="s">
        <v>188</v>
      </c>
      <c r="B7" s="117">
        <v>0</v>
      </c>
      <c r="D7" s="66"/>
      <c r="H7" s="65"/>
    </row>
    <row r="8" spans="1:8" x14ac:dyDescent="0.2">
      <c r="A8" s="72" t="s">
        <v>189</v>
      </c>
      <c r="B8" s="117">
        <v>0</v>
      </c>
      <c r="D8" s="66"/>
      <c r="H8" s="65"/>
    </row>
    <row r="9" spans="1:8" x14ac:dyDescent="0.2">
      <c r="A9" s="63" t="s">
        <v>207</v>
      </c>
      <c r="B9" s="118">
        <f>ImporteNEstaEstimacion+ImporteVEstaEstimacion+ImporteXEstaEstimacion</f>
        <v>4241326.4800000004</v>
      </c>
      <c r="D9" s="66"/>
      <c r="H9" s="65"/>
    </row>
    <row r="10" spans="1:8" x14ac:dyDescent="0.2">
      <c r="A10" s="72" t="s">
        <v>222</v>
      </c>
      <c r="B10" s="117">
        <v>2185126.7999999998</v>
      </c>
      <c r="D10" s="66"/>
      <c r="H10" s="65"/>
    </row>
    <row r="11" spans="1:8" x14ac:dyDescent="0.2">
      <c r="A11" s="72" t="s">
        <v>190</v>
      </c>
      <c r="B11" s="117">
        <v>27778</v>
      </c>
      <c r="D11" s="66"/>
      <c r="H11" s="65"/>
    </row>
    <row r="12" spans="1:8" x14ac:dyDescent="0.2">
      <c r="A12" s="72" t="s">
        <v>191</v>
      </c>
      <c r="B12" s="117">
        <v>0</v>
      </c>
      <c r="D12" s="66"/>
      <c r="H12" s="65"/>
    </row>
    <row r="13" spans="1:8" x14ac:dyDescent="0.2">
      <c r="A13" s="73" t="s">
        <v>192</v>
      </c>
      <c r="B13" s="117">
        <f>AcumuladoAnteriorN+AcumuladoAnteriorV+AcumuladoAnteriorX</f>
        <v>2212904.7999999998</v>
      </c>
      <c r="D13" s="66"/>
      <c r="H13" s="65"/>
    </row>
    <row r="14" spans="1:8" x14ac:dyDescent="0.2">
      <c r="A14" s="67"/>
      <c r="B14" s="118"/>
      <c r="D14" s="66"/>
      <c r="H14" s="65"/>
    </row>
    <row r="15" spans="1:8" x14ac:dyDescent="0.2">
      <c r="A15" s="72" t="s">
        <v>193</v>
      </c>
      <c r="B15" s="117">
        <v>6426453.2800000003</v>
      </c>
      <c r="D15" s="66"/>
      <c r="H15" s="65"/>
    </row>
    <row r="16" spans="1:8" x14ac:dyDescent="0.2">
      <c r="A16" s="72" t="s">
        <v>194</v>
      </c>
      <c r="B16" s="117">
        <v>27778</v>
      </c>
      <c r="D16" s="66"/>
      <c r="H16" s="65"/>
    </row>
    <row r="17" spans="1:8" x14ac:dyDescent="0.2">
      <c r="A17" s="72" t="s">
        <v>195</v>
      </c>
      <c r="B17" s="117">
        <v>0</v>
      </c>
      <c r="D17" s="66"/>
      <c r="H17" s="65"/>
    </row>
    <row r="18" spans="1:8" x14ac:dyDescent="0.2">
      <c r="A18" s="73" t="s">
        <v>196</v>
      </c>
      <c r="B18" s="117">
        <f>AcumuladoEstaEstimacionN+AcumuladoEstaEstimacionV+AcumuladoEstaEstimacionX</f>
        <v>6454231.2800000003</v>
      </c>
      <c r="D18" s="66"/>
      <c r="H18" s="65"/>
    </row>
    <row r="19" spans="1:8" x14ac:dyDescent="0.2">
      <c r="A19" s="67"/>
      <c r="B19" s="118"/>
      <c r="D19" s="66"/>
      <c r="H19" s="65"/>
    </row>
    <row r="20" spans="1:8" x14ac:dyDescent="0.2">
      <c r="A20" s="72" t="s">
        <v>197</v>
      </c>
      <c r="B20" s="117">
        <f>'N_Campos Generales'!C77 -B15</f>
        <v>4879839.9999999991</v>
      </c>
      <c r="D20" s="66"/>
      <c r="H20" s="65"/>
    </row>
    <row r="21" spans="1:8" x14ac:dyDescent="0.2">
      <c r="A21" s="72" t="s">
        <v>198</v>
      </c>
      <c r="B21" s="117">
        <f>0-AcumuladoEstaEstimacionV</f>
        <v>-27778</v>
      </c>
      <c r="D21" s="66"/>
      <c r="H21" s="65"/>
    </row>
    <row r="22" spans="1:8" x14ac:dyDescent="0.2">
      <c r="A22" s="72" t="s">
        <v>199</v>
      </c>
      <c r="B22" s="117">
        <f>0-AcumuladoEstaEstimacionX</f>
        <v>0</v>
      </c>
      <c r="D22" s="66"/>
      <c r="H22" s="65"/>
    </row>
    <row r="23" spans="1:8" x14ac:dyDescent="0.2">
      <c r="A23" s="73" t="s">
        <v>200</v>
      </c>
      <c r="B23" s="117">
        <f>PorEjercerN+PorEjercerV+PorEjercerX</f>
        <v>4852061.9999999991</v>
      </c>
      <c r="D23" s="66"/>
      <c r="H23" s="65"/>
    </row>
    <row r="24" spans="1:8" x14ac:dyDescent="0.2">
      <c r="B24" s="64"/>
      <c r="D24" s="66"/>
      <c r="H24" s="65"/>
    </row>
    <row r="25" spans="1:8" x14ac:dyDescent="0.2">
      <c r="A25" s="72" t="s">
        <v>203</v>
      </c>
      <c r="B25" s="117">
        <v>387657.24</v>
      </c>
      <c r="D25" s="66"/>
      <c r="H25" s="65"/>
    </row>
    <row r="26" spans="1:8" x14ac:dyDescent="0.2">
      <c r="A26" s="72" t="s">
        <v>204</v>
      </c>
      <c r="B26" s="117">
        <v>310040.96999999997</v>
      </c>
      <c r="D26" s="66"/>
      <c r="H26" s="65"/>
    </row>
    <row r="27" spans="1:8" x14ac:dyDescent="0.2">
      <c r="A27" s="72" t="s">
        <v>325</v>
      </c>
      <c r="B27" s="117">
        <v>231</v>
      </c>
      <c r="D27" s="66"/>
      <c r="H27" s="65"/>
    </row>
    <row r="28" spans="1:8" x14ac:dyDescent="0.2">
      <c r="A28" s="72"/>
      <c r="B28" s="117">
        <f>+AmortizacionAnticipoEstaEstimacion+RetencionFGEstaEstimacion+PagoACuentaEstaEstimacion</f>
        <v>697929.21</v>
      </c>
      <c r="D28" s="66"/>
      <c r="H28" s="65"/>
    </row>
    <row r="29" spans="1:8" x14ac:dyDescent="0.2">
      <c r="A29" s="72" t="s">
        <v>327</v>
      </c>
      <c r="B29" s="117">
        <v>127239.79</v>
      </c>
      <c r="D29" s="66"/>
      <c r="H29" s="65"/>
    </row>
    <row r="30" spans="1:8" x14ac:dyDescent="0.2">
      <c r="A30" s="114"/>
      <c r="B30" s="117">
        <f>B28-B29</f>
        <v>570689.41999999993</v>
      </c>
      <c r="D30" s="66"/>
      <c r="H30" s="65"/>
    </row>
    <row r="31" spans="1:8" x14ac:dyDescent="0.2">
      <c r="A31" s="3" t="s">
        <v>28</v>
      </c>
      <c r="B31" s="114"/>
      <c r="D31" s="66"/>
      <c r="H31" s="65"/>
    </row>
    <row r="32" spans="1:8" x14ac:dyDescent="0.2">
      <c r="A32" s="72" t="s">
        <v>201</v>
      </c>
      <c r="B32" s="117">
        <v>0</v>
      </c>
      <c r="D32" s="66"/>
      <c r="H32" s="65"/>
    </row>
    <row r="33" spans="1:8" x14ac:dyDescent="0.2">
      <c r="A33" s="72" t="s">
        <v>202</v>
      </c>
      <c r="B33" s="117">
        <v>127239.79</v>
      </c>
      <c r="D33" s="66"/>
      <c r="H33" s="65"/>
    </row>
    <row r="34" spans="1:8" x14ac:dyDescent="0.2">
      <c r="A34" s="114"/>
      <c r="B34" s="117">
        <f>+DescuentosEstaEstimacion+DeductivasEstaEstimacion</f>
        <v>127239.79</v>
      </c>
      <c r="D34" s="66"/>
      <c r="H34" s="65"/>
    </row>
    <row r="35" spans="1:8" x14ac:dyDescent="0.2">
      <c r="A35" s="114"/>
      <c r="B35" s="119"/>
      <c r="D35" s="66"/>
      <c r="H35" s="65"/>
    </row>
    <row r="36" spans="1:8" x14ac:dyDescent="0.2">
      <c r="A36" s="12" t="s">
        <v>205</v>
      </c>
      <c r="B36" s="117">
        <f>B34+B30</f>
        <v>697929.21</v>
      </c>
      <c r="D36" s="66"/>
      <c r="H36" s="65"/>
    </row>
    <row r="37" spans="1:8" x14ac:dyDescent="0.2">
      <c r="A37" s="72" t="s">
        <v>206</v>
      </c>
      <c r="B37" s="117">
        <f>B62-TotalEstaEstimacion</f>
        <v>3543397.2700000005</v>
      </c>
      <c r="D37" s="66"/>
      <c r="H37" s="65"/>
    </row>
    <row r="38" spans="1:8" x14ac:dyDescent="0.2">
      <c r="A38" s="72" t="s">
        <v>208</v>
      </c>
      <c r="B38" s="117">
        <v>566943.56000000006</v>
      </c>
      <c r="D38" s="66"/>
      <c r="H38" s="65"/>
    </row>
    <row r="39" spans="1:8" x14ac:dyDescent="0.2">
      <c r="A39" s="12" t="s">
        <v>209</v>
      </c>
      <c r="B39" s="117">
        <f>B37+B38</f>
        <v>4110340.8300000005</v>
      </c>
      <c r="D39" s="66"/>
      <c r="H39" s="65"/>
    </row>
    <row r="40" spans="1:8" x14ac:dyDescent="0.2">
      <c r="A40" s="72" t="s">
        <v>210</v>
      </c>
      <c r="B40" s="120" t="s">
        <v>326</v>
      </c>
      <c r="D40" s="66"/>
      <c r="H40" s="65"/>
    </row>
    <row r="41" spans="1:8" x14ac:dyDescent="0.2">
      <c r="B41" s="64"/>
      <c r="D41" s="66"/>
      <c r="H41" s="65"/>
    </row>
    <row r="42" spans="1:8" x14ac:dyDescent="0.2">
      <c r="B42" s="64"/>
      <c r="D42" s="66"/>
      <c r="H42" s="65"/>
    </row>
    <row r="43" spans="1:8" x14ac:dyDescent="0.2">
      <c r="B43" s="64"/>
      <c r="D43" s="66"/>
      <c r="H43" s="65"/>
    </row>
    <row r="44" spans="1:8" x14ac:dyDescent="0.2">
      <c r="A44" s="72" t="s">
        <v>223</v>
      </c>
      <c r="B44" s="117">
        <v>0</v>
      </c>
      <c r="D44" s="66"/>
      <c r="H44" s="65"/>
    </row>
    <row r="45" spans="1:8" x14ac:dyDescent="0.2">
      <c r="A45" s="72" t="s">
        <v>224</v>
      </c>
      <c r="B45" s="117">
        <v>44258.1</v>
      </c>
      <c r="D45" s="66"/>
      <c r="H45" s="65"/>
    </row>
    <row r="46" spans="1:8" x14ac:dyDescent="0.2">
      <c r="A46" s="72" t="s">
        <v>225</v>
      </c>
      <c r="B46" s="117">
        <v>202259.5</v>
      </c>
      <c r="D46" s="66"/>
      <c r="H46" s="65"/>
    </row>
    <row r="47" spans="1:8" x14ac:dyDescent="0.2">
      <c r="A47" s="72" t="s">
        <v>226</v>
      </c>
      <c r="B47" s="117">
        <v>161763.34</v>
      </c>
      <c r="D47" s="66"/>
      <c r="H47" s="65"/>
    </row>
    <row r="48" spans="1:8" x14ac:dyDescent="0.2">
      <c r="A48" s="72" t="s">
        <v>227</v>
      </c>
      <c r="B48" s="117">
        <f>DescuentosAcumuladoEstimacionAnterior+DeductivasAcumuladasEstimacionAnterior+AmortizacionAnticipoAcumuladoEstimacionAnterior+RetencionFGAcumuladoEstimacionAnterior</f>
        <v>408280.94</v>
      </c>
      <c r="D48" s="66"/>
      <c r="H48" s="65"/>
    </row>
    <row r="49" spans="1:8" x14ac:dyDescent="0.2">
      <c r="B49" s="116"/>
      <c r="D49" s="66"/>
      <c r="H49" s="65"/>
    </row>
    <row r="50" spans="1:8" x14ac:dyDescent="0.2">
      <c r="A50" s="72" t="s">
        <v>228</v>
      </c>
      <c r="B50" s="117">
        <v>0</v>
      </c>
      <c r="D50" s="66"/>
      <c r="H50" s="65"/>
    </row>
    <row r="51" spans="1:8" x14ac:dyDescent="0.2">
      <c r="A51" s="72" t="s">
        <v>229</v>
      </c>
      <c r="B51" s="117">
        <v>171497.89</v>
      </c>
      <c r="D51" s="66"/>
      <c r="H51" s="65"/>
    </row>
    <row r="52" spans="1:8" x14ac:dyDescent="0.2">
      <c r="A52" s="72" t="s">
        <v>230</v>
      </c>
      <c r="B52" s="117">
        <v>589916.74</v>
      </c>
      <c r="D52" s="66"/>
      <c r="H52" s="65"/>
    </row>
    <row r="53" spans="1:8" x14ac:dyDescent="0.2">
      <c r="A53" s="72" t="s">
        <v>231</v>
      </c>
      <c r="B53" s="117">
        <v>471804.31</v>
      </c>
      <c r="D53" s="66"/>
      <c r="H53" s="65"/>
    </row>
    <row r="54" spans="1:8" x14ac:dyDescent="0.2">
      <c r="A54" s="72" t="s">
        <v>232</v>
      </c>
      <c r="B54" s="117">
        <f>DescuentosAcumuladoEstaEstimacion+DeductivasAcumuladasEstaEstimacion+AmortizacionAnticipoAcumuladoEstaEstimacion+RetencionFGAcumuladoEstaEstimacion</f>
        <v>1233218.94</v>
      </c>
      <c r="D54" s="66"/>
      <c r="H54" s="65"/>
    </row>
    <row r="55" spans="1:8" x14ac:dyDescent="0.2">
      <c r="B55" s="116"/>
      <c r="D55" s="66"/>
      <c r="H55" s="65"/>
    </row>
    <row r="56" spans="1:8" x14ac:dyDescent="0.2">
      <c r="A56" s="72" t="s">
        <v>233</v>
      </c>
      <c r="B56" s="117">
        <v>0</v>
      </c>
      <c r="D56" s="66"/>
      <c r="H56" s="65"/>
    </row>
    <row r="57" spans="1:8" x14ac:dyDescent="0.2">
      <c r="A57" s="72" t="s">
        <v>234</v>
      </c>
      <c r="B57" s="117">
        <v>0</v>
      </c>
      <c r="D57" s="66"/>
      <c r="H57" s="65"/>
    </row>
    <row r="58" spans="1:8" x14ac:dyDescent="0.2">
      <c r="A58" s="72" t="s">
        <v>235</v>
      </c>
      <c r="B58" s="117">
        <f>'N_Campos Generales'!C79-B52</f>
        <v>443478.47</v>
      </c>
      <c r="D58" s="66"/>
      <c r="H58" s="65"/>
    </row>
    <row r="59" spans="1:8" x14ac:dyDescent="0.2">
      <c r="A59" s="72" t="s">
        <v>236</v>
      </c>
      <c r="B59" s="117">
        <v>0</v>
      </c>
      <c r="D59" s="66"/>
      <c r="H59" s="65"/>
    </row>
    <row r="60" spans="1:8" x14ac:dyDescent="0.2">
      <c r="A60" s="72" t="s">
        <v>237</v>
      </c>
      <c r="B60" s="117">
        <f>DescuentosPorEjercer+DeductivasPorEjercer+AmortizacionAnticipoPorEjercer+RetencionFGPorEjercer</f>
        <v>443478.47</v>
      </c>
      <c r="D60" s="66"/>
      <c r="H60" s="65"/>
    </row>
    <row r="61" spans="1:8" x14ac:dyDescent="0.2">
      <c r="B61" s="116"/>
      <c r="D61" s="66"/>
      <c r="H61" s="65"/>
    </row>
    <row r="62" spans="1:8" x14ac:dyDescent="0.2">
      <c r="A62" s="72" t="s">
        <v>285</v>
      </c>
      <c r="B62" s="117">
        <v>4241326.4800000004</v>
      </c>
      <c r="D62" s="66"/>
      <c r="H62" s="65"/>
    </row>
    <row r="63" spans="1:8" x14ac:dyDescent="0.2">
      <c r="B63" s="64"/>
      <c r="D63" s="66"/>
      <c r="H63" s="65"/>
    </row>
    <row r="64" spans="1:8" x14ac:dyDescent="0.2">
      <c r="A64" s="1" t="s">
        <v>287</v>
      </c>
      <c r="B64" s="94">
        <v>7654</v>
      </c>
      <c r="D64" s="66"/>
      <c r="H64" s="65"/>
    </row>
    <row r="65" spans="2:8" x14ac:dyDescent="0.2">
      <c r="B65" s="64"/>
      <c r="D65" s="66"/>
      <c r="H65" s="65"/>
    </row>
    <row r="66" spans="2:8" x14ac:dyDescent="0.2">
      <c r="B66" s="64"/>
      <c r="D66" s="66"/>
      <c r="H66" s="65"/>
    </row>
    <row r="67" spans="2:8" x14ac:dyDescent="0.2">
      <c r="B67" s="64"/>
      <c r="D67" s="66"/>
      <c r="H67" s="65"/>
    </row>
    <row r="68" spans="2:8" x14ac:dyDescent="0.2">
      <c r="B68" s="64"/>
      <c r="D68" s="66"/>
      <c r="H68" s="65"/>
    </row>
    <row r="69" spans="2:8" x14ac:dyDescent="0.2">
      <c r="B69" s="64"/>
      <c r="D69" s="66"/>
      <c r="H69" s="65"/>
    </row>
    <row r="70" spans="2:8" x14ac:dyDescent="0.2">
      <c r="B70" s="68"/>
      <c r="D70" s="69"/>
      <c r="E70" s="70"/>
      <c r="F70" s="70"/>
      <c r="G70" s="70"/>
      <c r="H70" s="71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8"/>
  <sheetViews>
    <sheetView showGridLines="0" showZeros="0" workbookViewId="0">
      <selection activeCell="J14" sqref="J14"/>
    </sheetView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14.25" customHeight="1" x14ac:dyDescent="0.25">
      <c r="A2" s="3" t="s">
        <v>1</v>
      </c>
      <c r="B2" s="138" t="str">
        <f>nombredelcontrato</f>
        <v>Remodelación de la fachada exterior</v>
      </c>
      <c r="C2" s="138"/>
      <c r="D2" s="138"/>
      <c r="E2" s="2"/>
      <c r="F2" s="2"/>
    </row>
    <row r="3" spans="1:6" ht="12.75" customHeight="1" x14ac:dyDescent="0.2">
      <c r="A3" s="5" t="s">
        <v>2</v>
      </c>
      <c r="B3" s="5"/>
      <c r="C3" s="5" t="s">
        <v>4</v>
      </c>
      <c r="D3" s="5"/>
      <c r="E3" s="1"/>
      <c r="F3" s="1"/>
    </row>
    <row r="4" spans="1:6" ht="14.25" customHeight="1" x14ac:dyDescent="0.25">
      <c r="A4" s="6" t="s">
        <v>3</v>
      </c>
      <c r="B4" s="75">
        <f>numContrato</f>
        <v>1</v>
      </c>
      <c r="C4" s="6" t="s">
        <v>3</v>
      </c>
      <c r="D4" s="75" t="str">
        <f>NumeroEstimacion</f>
        <v>3-N-5</v>
      </c>
      <c r="F4" s="2"/>
    </row>
    <row r="5" spans="1:6" ht="14.25" customHeight="1" x14ac:dyDescent="0.25">
      <c r="A5" s="6" t="s">
        <v>5</v>
      </c>
      <c r="B5" s="108">
        <f>fechadelcontrato</f>
        <v>40597</v>
      </c>
      <c r="C5" s="6" t="s">
        <v>5</v>
      </c>
      <c r="D5" s="108">
        <f>FechaEstimacion</f>
        <v>40610</v>
      </c>
      <c r="F5" s="2"/>
    </row>
    <row r="6" spans="1:6" ht="13.5" customHeight="1" x14ac:dyDescent="0.2">
      <c r="A6" s="31" t="s">
        <v>6</v>
      </c>
      <c r="B6" s="77" t="str">
        <f>nombrecontratista</f>
        <v>EL KONSTRUKTOR S.A. DE C.V.</v>
      </c>
      <c r="C6" s="6" t="s">
        <v>288</v>
      </c>
      <c r="D6" s="75">
        <f>FolioAuxiliar</f>
        <v>7654</v>
      </c>
      <c r="F6" s="7"/>
    </row>
    <row r="7" spans="1:6" ht="13.5" customHeight="1" x14ac:dyDescent="0.2">
      <c r="A7" s="31" t="s">
        <v>7</v>
      </c>
      <c r="B7" s="77" t="str">
        <f>objetodelcontrato</f>
        <v>Obra de remodelación</v>
      </c>
      <c r="F7" s="7"/>
    </row>
    <row r="8" spans="1:6" ht="13.5" customHeight="1" x14ac:dyDescent="0.2">
      <c r="A8" s="31" t="s">
        <v>8</v>
      </c>
      <c r="B8" s="139" t="str">
        <f>direcciondelaobra</f>
        <v>Tramo de Barranca del Muerto a Tlahuac.</v>
      </c>
      <c r="C8" s="139"/>
      <c r="D8" s="139"/>
      <c r="F8" s="7"/>
    </row>
    <row r="9" spans="1:6" ht="13.5" customHeight="1" x14ac:dyDescent="0.2">
      <c r="A9" s="6" t="s">
        <v>9</v>
      </c>
      <c r="B9" s="9">
        <f>montodelcontrato</f>
        <v>11306293.279999999</v>
      </c>
      <c r="C9" s="4"/>
      <c r="D9" s="8"/>
      <c r="F9" s="8"/>
    </row>
    <row r="10" spans="1:6" ht="13.5" customHeight="1" x14ac:dyDescent="0.2">
      <c r="A10" s="6" t="s">
        <v>10</v>
      </c>
      <c r="B10" s="9">
        <f>montoadendum</f>
        <v>0</v>
      </c>
      <c r="C10" s="6" t="s">
        <v>11</v>
      </c>
      <c r="D10" s="76" t="str">
        <f>Periodo</f>
        <v>03/03/2011 - 09/03/2011</v>
      </c>
      <c r="F10" s="8"/>
    </row>
    <row r="11" spans="1:6" ht="13.5" customHeight="1" x14ac:dyDescent="0.2">
      <c r="A11" s="6" t="s">
        <v>12</v>
      </c>
      <c r="B11" s="9">
        <f>montoanticipocontrato</f>
        <v>1033395.21</v>
      </c>
      <c r="C11" s="6" t="s">
        <v>13</v>
      </c>
      <c r="D11" s="75">
        <f>Factura</f>
        <v>12345</v>
      </c>
      <c r="F11" s="8"/>
    </row>
    <row r="12" spans="1:6" ht="13.5" customHeight="1" x14ac:dyDescent="0.2">
      <c r="A12" s="1"/>
      <c r="B12" s="9"/>
      <c r="C12" s="4"/>
      <c r="D12" s="4"/>
      <c r="E12" s="8"/>
      <c r="F12" s="8"/>
    </row>
    <row r="13" spans="1:6" ht="12.75" customHeight="1" x14ac:dyDescent="0.2">
      <c r="A13" s="89" t="s">
        <v>14</v>
      </c>
      <c r="B13" s="90"/>
      <c r="C13" s="90"/>
      <c r="D13" s="90"/>
      <c r="E13" s="90"/>
      <c r="F13" s="91"/>
    </row>
    <row r="14" spans="1:6" ht="34.5" customHeight="1" x14ac:dyDescent="0.2">
      <c r="A14" s="92" t="s">
        <v>15</v>
      </c>
      <c r="B14" s="140" t="s">
        <v>16</v>
      </c>
      <c r="C14" s="141"/>
      <c r="D14" s="93" t="s">
        <v>17</v>
      </c>
      <c r="E14" s="93" t="s">
        <v>18</v>
      </c>
      <c r="F14" s="93" t="s">
        <v>19</v>
      </c>
    </row>
    <row r="15" spans="1:6" ht="12.75" customHeight="1" x14ac:dyDescent="0.2">
      <c r="A15" s="10" t="str">
        <f>'N_Campos Especificos'!D3</f>
        <v>A01002</v>
      </c>
      <c r="B15" s="144" t="str">
        <f>'N_Campos Especificos'!E3</f>
        <v>DESMONTAJE DE MUEBLES</v>
      </c>
      <c r="C15" s="145"/>
      <c r="D15" s="11">
        <f>'N_Campos Especificos'!F3</f>
        <v>1110936</v>
      </c>
      <c r="E15" s="11">
        <f>'N_Campos Especificos'!G3</f>
        <v>211076</v>
      </c>
      <c r="F15" s="11">
        <f>'N_Campos Especificos'!H3</f>
        <v>688784</v>
      </c>
    </row>
    <row r="16" spans="1:6" ht="12.75" customHeight="1" x14ac:dyDescent="0.2">
      <c r="A16" s="134"/>
      <c r="B16" s="146"/>
      <c r="C16" s="147"/>
      <c r="D16" s="135"/>
      <c r="E16" s="135"/>
      <c r="F16" s="135"/>
    </row>
    <row r="17" spans="1:6" ht="12.75" customHeight="1" x14ac:dyDescent="0.2">
      <c r="A17" s="134"/>
      <c r="B17" s="146"/>
      <c r="C17" s="147"/>
      <c r="D17" s="135"/>
      <c r="E17" s="135"/>
      <c r="F17" s="135"/>
    </row>
    <row r="18" spans="1:6" ht="12.75" customHeight="1" x14ac:dyDescent="0.2">
      <c r="A18" s="10"/>
      <c r="B18" s="144"/>
      <c r="C18" s="145"/>
      <c r="D18" s="11"/>
      <c r="E18" s="11"/>
      <c r="F18" s="11"/>
    </row>
    <row r="19" spans="1:6" ht="12.75" customHeight="1" x14ac:dyDescent="0.2">
      <c r="A19" s="10"/>
      <c r="B19" s="144"/>
      <c r="C19" s="145"/>
      <c r="D19" s="11"/>
      <c r="E19" s="11"/>
      <c r="F19" s="11"/>
    </row>
    <row r="20" spans="1:6" ht="12.75" customHeight="1" x14ac:dyDescent="0.2">
      <c r="A20" s="10"/>
      <c r="B20" s="144"/>
      <c r="C20" s="145"/>
      <c r="D20" s="11"/>
      <c r="E20" s="11"/>
      <c r="F20" s="11"/>
    </row>
    <row r="21" spans="1:6" ht="12.75" customHeight="1" x14ac:dyDescent="0.2">
      <c r="A21" s="10"/>
      <c r="B21" s="144"/>
      <c r="C21" s="145"/>
      <c r="D21" s="11"/>
      <c r="E21" s="11"/>
      <c r="F21" s="11"/>
    </row>
    <row r="22" spans="1:6" ht="12.75" customHeight="1" x14ac:dyDescent="0.2">
      <c r="A22" s="10"/>
      <c r="B22" s="144"/>
      <c r="C22" s="145"/>
      <c r="D22" s="11"/>
      <c r="E22" s="11"/>
      <c r="F22" s="11"/>
    </row>
    <row r="23" spans="1:6" ht="12.75" customHeight="1" x14ac:dyDescent="0.2">
      <c r="A23" s="10"/>
      <c r="B23" s="144"/>
      <c r="C23" s="145"/>
      <c r="D23" s="11"/>
      <c r="E23" s="11"/>
      <c r="F23" s="11"/>
    </row>
    <row r="24" spans="1:6" ht="32.25" customHeight="1" x14ac:dyDescent="0.2">
      <c r="A24" s="12" t="s">
        <v>20</v>
      </c>
      <c r="B24" s="13"/>
      <c r="C24" s="14" t="s">
        <v>21</v>
      </c>
      <c r="D24" s="14" t="s">
        <v>22</v>
      </c>
      <c r="E24" s="14" t="s">
        <v>23</v>
      </c>
      <c r="F24" s="14" t="s">
        <v>24</v>
      </c>
    </row>
    <row r="25" spans="1:6" ht="12.75" customHeight="1" x14ac:dyDescent="0.2">
      <c r="A25" s="13" t="s">
        <v>25</v>
      </c>
      <c r="B25" s="13"/>
      <c r="C25" s="15">
        <f>ImporteNEstaEstimacion</f>
        <v>4241326.4800000004</v>
      </c>
      <c r="D25" s="15">
        <f>AcumuladoAnteriorN</f>
        <v>2185126.7999999998</v>
      </c>
      <c r="E25" s="15">
        <f>AcumuladoEstaEstimacionN</f>
        <v>6426453.2800000003</v>
      </c>
      <c r="F25" s="15">
        <f>PorEjercerN</f>
        <v>4879839.9999999991</v>
      </c>
    </row>
    <row r="26" spans="1:6" ht="12.75" customHeight="1" x14ac:dyDescent="0.2">
      <c r="A26" s="13" t="s">
        <v>240</v>
      </c>
      <c r="B26" s="13"/>
      <c r="C26" s="15">
        <f>ImporteVEstaEstimacion</f>
        <v>0</v>
      </c>
      <c r="D26" s="15">
        <f>AcumuladoAnteriorV</f>
        <v>27778</v>
      </c>
      <c r="E26" s="15">
        <f>AcumuladoEstaEstimacionV</f>
        <v>27778</v>
      </c>
      <c r="F26" s="15">
        <f>PorEjercerV</f>
        <v>-27778</v>
      </c>
    </row>
    <row r="27" spans="1:6" ht="12.75" customHeight="1" x14ac:dyDescent="0.2">
      <c r="A27" s="13" t="s">
        <v>241</v>
      </c>
      <c r="B27" s="13"/>
      <c r="C27" s="15">
        <f>ImporteXEstaEstimacion</f>
        <v>0</v>
      </c>
      <c r="D27" s="74">
        <f>AcumuladoAnteriorX</f>
        <v>0</v>
      </c>
      <c r="E27" s="15">
        <f>AcumuladoEstaEstimacionX</f>
        <v>0</v>
      </c>
      <c r="F27" s="15">
        <f>PorEjercerX</f>
        <v>0</v>
      </c>
    </row>
    <row r="28" spans="1:6" ht="12.75" customHeight="1" x14ac:dyDescent="0.2">
      <c r="A28" s="86" t="s">
        <v>26</v>
      </c>
      <c r="B28" s="87"/>
      <c r="C28" s="88"/>
      <c r="D28" s="84">
        <f>TotalAcumuladoAnterior</f>
        <v>2212904.7999999998</v>
      </c>
      <c r="E28" s="84">
        <f>TotalAcumuladoEstaEstimacion</f>
        <v>6454231.2800000003</v>
      </c>
      <c r="F28" s="84">
        <f>TotalPorEjercer</f>
        <v>4852061.9999999991</v>
      </c>
    </row>
    <row r="29" spans="1:6" ht="27.75" customHeight="1" x14ac:dyDescent="0.2">
      <c r="A29" s="148" t="s">
        <v>27</v>
      </c>
      <c r="B29" s="148"/>
      <c r="C29" s="148"/>
      <c r="D29" s="148"/>
      <c r="E29" s="148"/>
      <c r="F29" s="148"/>
    </row>
    <row r="30" spans="1:6" ht="32.25" customHeight="1" x14ac:dyDescent="0.2">
      <c r="A30" s="17" t="s">
        <v>28</v>
      </c>
      <c r="B30" s="18"/>
      <c r="C30" s="14" t="s">
        <v>21</v>
      </c>
      <c r="D30" s="14" t="s">
        <v>22</v>
      </c>
      <c r="E30" s="14" t="s">
        <v>23</v>
      </c>
      <c r="F30" s="14" t="s">
        <v>24</v>
      </c>
    </row>
    <row r="31" spans="1:6" ht="12.75" customHeight="1" x14ac:dyDescent="0.2">
      <c r="A31" s="16" t="s">
        <v>29</v>
      </c>
      <c r="B31" s="18"/>
      <c r="C31" s="15">
        <f>DescuentosEstaEstimacion</f>
        <v>0</v>
      </c>
      <c r="D31" s="15">
        <f>DescuentosAcumuladoEstimacionAnterior</f>
        <v>0</v>
      </c>
      <c r="E31" s="15">
        <f>DescuentosAcumuladoEstaEstimacion</f>
        <v>0</v>
      </c>
      <c r="F31" s="15"/>
    </row>
    <row r="32" spans="1:6" ht="12.75" customHeight="1" x14ac:dyDescent="0.2">
      <c r="A32" s="16" t="s">
        <v>30</v>
      </c>
      <c r="B32" s="18"/>
      <c r="C32" s="15">
        <f>DeductivasEstaEstimacion</f>
        <v>127239.79</v>
      </c>
      <c r="D32" s="15">
        <f>DeductivasAcumuladasEstimacionAnterior</f>
        <v>44258.1</v>
      </c>
      <c r="E32" s="15">
        <f>DeductivasAcumuladasEstaEstimacion</f>
        <v>171497.89</v>
      </c>
      <c r="F32" s="15"/>
    </row>
    <row r="33" spans="1:6" ht="12.75" customHeight="1" x14ac:dyDescent="0.2">
      <c r="A33" s="16" t="s">
        <v>31</v>
      </c>
      <c r="B33" s="18"/>
      <c r="C33" s="15">
        <f>AmortizacionAnticipoEstaEstimacion</f>
        <v>387657.24</v>
      </c>
      <c r="D33" s="15">
        <f>AmortizacionAnticipoAcumuladoEstimacionAnterior</f>
        <v>202259.5</v>
      </c>
      <c r="E33" s="15">
        <f>AmortizacionAnticipoAcumuladoEstaEstimacion</f>
        <v>589916.74</v>
      </c>
      <c r="F33" s="15">
        <f>AmortizacionAnticipoPorEjercer</f>
        <v>443478.47</v>
      </c>
    </row>
    <row r="34" spans="1:6" ht="12.75" customHeight="1" x14ac:dyDescent="0.2">
      <c r="A34" s="16" t="s">
        <v>32</v>
      </c>
      <c r="B34" s="18"/>
      <c r="C34" s="15">
        <f>RetencionFGEstaEstimacion</f>
        <v>310040.96999999997</v>
      </c>
      <c r="D34" s="15">
        <f>RetencionFGAcumuladoEstimacionAnterior</f>
        <v>161763.34</v>
      </c>
      <c r="E34" s="74">
        <f>RetencionFGAcumuladoEstaEstimacion</f>
        <v>471804.31</v>
      </c>
      <c r="F34" s="15">
        <f>RetencionFGPorEjercer</f>
        <v>0</v>
      </c>
    </row>
    <row r="35" spans="1:6" ht="12.75" customHeight="1" x14ac:dyDescent="0.2">
      <c r="A35" s="82" t="s">
        <v>26</v>
      </c>
      <c r="B35" s="83"/>
      <c r="C35" s="84">
        <f>TotalEstaEstimacion</f>
        <v>697929.21</v>
      </c>
      <c r="D35" s="85">
        <f>TotalesRetencionesAcumuladoEstimacionAnterior</f>
        <v>408280.94</v>
      </c>
      <c r="E35" s="84">
        <f>TotalesRetencionesAcumuladoEstaEstimacion</f>
        <v>1233218.94</v>
      </c>
      <c r="F35" s="84">
        <f>TotalesRetencionesPorEjercer</f>
        <v>443478.47</v>
      </c>
    </row>
    <row r="36" spans="1:6" ht="12.75" customHeight="1" x14ac:dyDescent="0.2">
      <c r="A36" s="19" t="s">
        <v>33</v>
      </c>
      <c r="B36" s="20"/>
      <c r="C36" s="15">
        <f>ImporteEstimacionMenosRetenciones</f>
        <v>3543397.2700000005</v>
      </c>
      <c r="D36" s="15"/>
      <c r="E36" s="15"/>
      <c r="F36" s="15"/>
    </row>
    <row r="37" spans="1:6" ht="12.75" customHeight="1" x14ac:dyDescent="0.2">
      <c r="A37" s="16" t="s">
        <v>34</v>
      </c>
      <c r="B37" s="18"/>
      <c r="C37" s="15">
        <f>MontoIva</f>
        <v>566943.56000000006</v>
      </c>
      <c r="D37" s="13"/>
      <c r="E37" s="13"/>
      <c r="F37" s="13"/>
    </row>
    <row r="38" spans="1:6" ht="12.75" customHeight="1" x14ac:dyDescent="0.2">
      <c r="A38" s="79" t="s">
        <v>35</v>
      </c>
      <c r="B38" s="21"/>
      <c r="C38" s="80">
        <f>TotalAPagar</f>
        <v>4110340.8300000005</v>
      </c>
      <c r="D38" s="13"/>
      <c r="E38" s="13"/>
      <c r="F38" s="13"/>
    </row>
    <row r="39" spans="1:6" ht="12.75" customHeight="1" x14ac:dyDescent="0.2">
      <c r="A39" s="78" t="s">
        <v>36</v>
      </c>
      <c r="B39" s="142" t="str">
        <f>ImporteConLetra</f>
        <v>(* TRES  MILLONES  NOVECIENTOS  OCHENTA  Y  TRES  MIL  CIENTO UN  PESOS 04/100  M.N. *)</v>
      </c>
      <c r="C39" s="142"/>
      <c r="D39" s="142"/>
      <c r="E39" s="142"/>
      <c r="F39" s="143"/>
    </row>
    <row r="40" spans="1:6" ht="12.75" customHeight="1" x14ac:dyDescent="0.2">
      <c r="A40" s="22"/>
      <c r="B40" s="22"/>
      <c r="C40" s="22"/>
      <c r="D40" s="22"/>
      <c r="E40" s="22"/>
      <c r="F40" s="22"/>
    </row>
    <row r="41" spans="1:6" ht="12.75" customHeight="1" x14ac:dyDescent="0.2">
      <c r="A41" s="23" t="s">
        <v>37</v>
      </c>
      <c r="B41" s="5"/>
      <c r="C41" s="5"/>
      <c r="D41" s="5"/>
      <c r="E41" s="5"/>
      <c r="F41" s="24"/>
    </row>
    <row r="42" spans="1:6" ht="12.75" customHeight="1" x14ac:dyDescent="0.2">
      <c r="A42" s="25" t="str">
        <f>'N_Campos Generales'!C85</f>
        <v>Elaboró</v>
      </c>
      <c r="B42" s="1"/>
      <c r="C42" s="1"/>
      <c r="D42" s="1"/>
      <c r="E42" s="1" t="str">
        <f>'N_Campos Generales'!C88</f>
        <v>Revisó</v>
      </c>
      <c r="F42" s="26"/>
    </row>
    <row r="43" spans="1:6" ht="12.75" customHeight="1" x14ac:dyDescent="0.2">
      <c r="A43" s="27" t="str">
        <f>Firma1</f>
        <v>ENCARGADO CORRESPONDIENTE</v>
      </c>
      <c r="B43" s="1"/>
      <c r="C43" s="1"/>
      <c r="E43" s="4" t="str">
        <f>Firma2</f>
        <v>ENCARGADO CORRESPONDIENTE</v>
      </c>
      <c r="F43" s="26"/>
    </row>
    <row r="44" spans="1:6" ht="12.75" customHeight="1" x14ac:dyDescent="0.2">
      <c r="A44" s="27" t="str">
        <f>Cargo1</f>
        <v>El Contratista</v>
      </c>
      <c r="B44" s="32" t="s">
        <v>38</v>
      </c>
      <c r="C44" s="32"/>
      <c r="D44" s="32"/>
      <c r="E44" s="4" t="str">
        <f>Cargo2</f>
        <v>Gerencia de Construcción</v>
      </c>
      <c r="F44" s="26"/>
    </row>
    <row r="45" spans="1:6" ht="12.75" customHeight="1" x14ac:dyDescent="0.2">
      <c r="A45" s="25"/>
      <c r="B45" s="32" t="s">
        <v>39</v>
      </c>
      <c r="C45" s="32"/>
      <c r="D45" s="32"/>
      <c r="E45" s="1"/>
      <c r="F45" s="26"/>
    </row>
    <row r="46" spans="1:6" ht="12.75" customHeight="1" x14ac:dyDescent="0.2">
      <c r="A46" s="28" t="str">
        <f>'N_Campos Generales'!C91</f>
        <v>Supervisó</v>
      </c>
      <c r="B46" s="1"/>
      <c r="C46" s="1"/>
      <c r="F46" s="26"/>
    </row>
    <row r="47" spans="1:6" ht="12.75" customHeight="1" x14ac:dyDescent="0.2">
      <c r="A47" s="27" t="str">
        <f>Firma3</f>
        <v>ENCARGADO CORRESPONDIENTE</v>
      </c>
      <c r="B47" s="1"/>
      <c r="C47" s="1"/>
      <c r="E47" s="4" t="str">
        <f>Firma4</f>
        <v>ENCARGADO CORRESPONDIENTE</v>
      </c>
      <c r="F47" s="26"/>
    </row>
    <row r="48" spans="1:6" ht="12.75" customHeight="1" x14ac:dyDescent="0.2">
      <c r="A48" s="29" t="str">
        <f>Cargo3</f>
        <v>Coordinacion de Obra</v>
      </c>
      <c r="B48" s="21"/>
      <c r="C48" s="21"/>
      <c r="D48" s="21"/>
      <c r="E48" s="30" t="str">
        <f>Cargo4</f>
        <v>Contraloría</v>
      </c>
      <c r="F48" s="20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2011-02-18T23:40:47Z</cp:lastPrinted>
  <dcterms:created xsi:type="dcterms:W3CDTF">2002-11-13T22:54:31Z</dcterms:created>
  <dcterms:modified xsi:type="dcterms:W3CDTF">2025-09-22T18:22:25Z</dcterms:modified>
</cp:coreProperties>
</file>